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BRAS FOTOS ADM\CCU Bairro Iguaçu 2020\"/>
    </mc:Choice>
  </mc:AlternateContent>
  <bookViews>
    <workbookView xWindow="0" yWindow="0" windowWidth="20490" windowHeight="7755"/>
  </bookViews>
  <sheets>
    <sheet name="Orçamento" sheetId="1" r:id="rId1"/>
    <sheet name="Cronograma" sheetId="2" r:id="rId2"/>
  </sheets>
  <definedNames>
    <definedName name="_xlnm.Print_Area" localSheetId="1">Cronograma!$B$1:$I$31</definedName>
    <definedName name="_xlnm.Print_Area" localSheetId="0">Orçamento!$B$1:$K$72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1" l="1"/>
  <c r="H55" i="1"/>
  <c r="H54" i="1"/>
  <c r="H51" i="1"/>
  <c r="H50" i="1"/>
  <c r="H47" i="1"/>
  <c r="H46" i="1"/>
  <c r="H40" i="1"/>
  <c r="H41" i="1"/>
  <c r="H42" i="1"/>
  <c r="H43" i="1"/>
  <c r="H39" i="1"/>
  <c r="H36" i="1"/>
  <c r="H35" i="1"/>
  <c r="H32" i="1"/>
  <c r="H31" i="1"/>
  <c r="H28" i="1"/>
  <c r="H27" i="1"/>
  <c r="H23" i="1"/>
  <c r="H24" i="1"/>
  <c r="H22" i="1"/>
  <c r="H19" i="1"/>
  <c r="H18" i="1"/>
  <c r="H8" i="1"/>
  <c r="H9" i="1"/>
  <c r="H10" i="1"/>
  <c r="H11" i="1"/>
  <c r="H12" i="1"/>
  <c r="H13" i="1"/>
  <c r="H14" i="1"/>
  <c r="H15" i="1"/>
  <c r="H7" i="1"/>
  <c r="K58" i="1"/>
  <c r="G36" i="1" l="1"/>
  <c r="G19" i="1"/>
  <c r="C17" i="2" l="1"/>
  <c r="C16" i="2"/>
  <c r="C15" i="2"/>
  <c r="C14" i="2"/>
  <c r="C13" i="2"/>
  <c r="C12" i="2"/>
  <c r="C11" i="2"/>
  <c r="C10" i="2"/>
  <c r="C9" i="2"/>
  <c r="C8" i="2"/>
  <c r="C7" i="2"/>
  <c r="J39" i="1" l="1"/>
  <c r="J47" i="1" l="1"/>
  <c r="G9" i="1"/>
  <c r="J9" i="1" s="1"/>
  <c r="G10" i="1"/>
  <c r="J10" i="1" s="1"/>
  <c r="J19" i="1"/>
  <c r="J18" i="1"/>
  <c r="J58" i="1"/>
  <c r="J57" i="1" s="1"/>
  <c r="J55" i="1"/>
  <c r="J54" i="1"/>
  <c r="J43" i="1"/>
  <c r="J42" i="1"/>
  <c r="J14" i="1"/>
  <c r="J13" i="1"/>
  <c r="I46" i="1"/>
  <c r="J46" i="1" s="1"/>
  <c r="G32" i="1"/>
  <c r="J32" i="1" s="1"/>
  <c r="J31" i="1"/>
  <c r="J51" i="1"/>
  <c r="J50" i="1"/>
  <c r="J27" i="1"/>
  <c r="J11" i="1"/>
  <c r="J12" i="1"/>
  <c r="J15" i="1"/>
  <c r="J22" i="1"/>
  <c r="J23" i="1"/>
  <c r="J24" i="1"/>
  <c r="J40" i="1"/>
  <c r="J41" i="1"/>
  <c r="J45" i="1" l="1"/>
  <c r="J17" i="1"/>
  <c r="J53" i="1"/>
  <c r="J21" i="1"/>
  <c r="J30" i="1"/>
  <c r="J38" i="1"/>
  <c r="J49" i="1"/>
  <c r="J36" i="1"/>
  <c r="G35" i="1"/>
  <c r="J35" i="1" s="1"/>
  <c r="G28" i="1"/>
  <c r="J28" i="1" s="1"/>
  <c r="G8" i="1"/>
  <c r="J8" i="1" s="1"/>
  <c r="J7" i="1"/>
  <c r="J26" i="1" l="1"/>
  <c r="J60" i="1"/>
  <c r="J61" i="1" s="1"/>
  <c r="J62" i="1" s="1"/>
  <c r="J34" i="1"/>
  <c r="J6" i="1"/>
  <c r="K60" i="1" l="1"/>
  <c r="K61" i="1" s="1"/>
  <c r="K57" i="1" l="1"/>
  <c r="K17" i="1"/>
  <c r="K45" i="1"/>
  <c r="K49" i="1"/>
  <c r="K30" i="1"/>
  <c r="K38" i="1"/>
  <c r="K21" i="1"/>
  <c r="K53" i="1"/>
  <c r="K26" i="1"/>
  <c r="K6" i="1"/>
  <c r="K34" i="1"/>
  <c r="D17" i="2" l="1"/>
  <c r="H17" i="2" s="1"/>
  <c r="K62" i="1"/>
  <c r="D15" i="2"/>
  <c r="E15" i="2" s="1"/>
  <c r="D14" i="2"/>
  <c r="E14" i="2" s="1"/>
  <c r="D7" i="2"/>
  <c r="F7" i="2" s="1"/>
  <c r="D13" i="2"/>
  <c r="G13" i="2" s="1"/>
  <c r="D16" i="2"/>
  <c r="H16" i="2" s="1"/>
  <c r="D12" i="2"/>
  <c r="H12" i="2" s="1"/>
  <c r="D9" i="2"/>
  <c r="E9" i="2" s="1"/>
  <c r="D10" i="2"/>
  <c r="F10" i="2" s="1"/>
  <c r="D11" i="2"/>
  <c r="H11" i="2" s="1"/>
  <c r="D8" i="2"/>
  <c r="E8" i="2" s="1"/>
  <c r="G10" i="2" l="1"/>
  <c r="E7" i="2"/>
  <c r="H20" i="2"/>
  <c r="L7" i="1"/>
  <c r="G14" i="2"/>
  <c r="G20" i="2" s="1"/>
  <c r="F14" i="2"/>
  <c r="F20" i="2" s="1"/>
  <c r="D19" i="2"/>
  <c r="H22" i="2" s="1"/>
  <c r="E20" i="2"/>
  <c r="G22" i="2" l="1"/>
  <c r="F22" i="2"/>
  <c r="E21" i="2"/>
  <c r="E23" i="2" s="1"/>
  <c r="E22" i="2"/>
  <c r="F21" i="2"/>
  <c r="F23" i="2" s="1"/>
  <c r="H21" i="2"/>
  <c r="H23" i="2" s="1"/>
  <c r="K20" i="2"/>
  <c r="G21" i="2"/>
  <c r="G23" i="2" s="1"/>
</calcChain>
</file>

<file path=xl/sharedStrings.xml><?xml version="1.0" encoding="utf-8"?>
<sst xmlns="http://schemas.openxmlformats.org/spreadsheetml/2006/main" count="178" uniqueCount="111">
  <si>
    <t>DEMOLIÇÃO DE LAJES, DE FORMA MANUAL, SEM REAPROVEITAMENTO</t>
  </si>
  <si>
    <t>COD</t>
  </si>
  <si>
    <t>DESCRIÇÃO</t>
  </si>
  <si>
    <t>QUAN</t>
  </si>
  <si>
    <t>VALOR</t>
  </si>
  <si>
    <t>TOTAL</t>
  </si>
  <si>
    <t>UNIDADE</t>
  </si>
  <si>
    <t>LAJE PRE-MOLDADA P/FORRO, SOBRECARGA 100KG/M2, FCK=20MPA</t>
  </si>
  <si>
    <t>FABRICAÇÃO DE FÔRMA PARA PILARES E ESTRUTURAS SIMILARES, EM MADEIRA SERRADA</t>
  </si>
  <si>
    <t>FABRICAÇÃO DE FÔRMA PARA VIGAS, COM MADEIRA SERRADA</t>
  </si>
  <si>
    <t>m²</t>
  </si>
  <si>
    <t>CONCRETAGEM DE PILARES, FCK = 25 MPA</t>
  </si>
  <si>
    <t>m³</t>
  </si>
  <si>
    <t>CONCRETAGEM DE VIGAS E LAJES, FCK=20 MPA</t>
  </si>
  <si>
    <t>ALVENARIA DE VEDAÇÃO DE BLOCOS CERÂMICOS FURADOS NA HORIZONTAL DE 9X14x19</t>
  </si>
  <si>
    <t>GRAUTE FGK=15 MPA; TRAÇO 1:0,04:2,0:2,4</t>
  </si>
  <si>
    <t>CHAPISCO APLICADO EM ALVENARIAS E ESTRUTURAS DE CONCRETO INTERNAS</t>
  </si>
  <si>
    <t>MASSA ÚNICA, PARA RECEBIMENTO DE PINTURA, EM ARGAMASSA TRAÇO 1:2:8</t>
  </si>
  <si>
    <t>74202/001</t>
  </si>
  <si>
    <t>REVESTIMENTO INTERNO</t>
  </si>
  <si>
    <t>FORRO</t>
  </si>
  <si>
    <t>RECOLOCACO DE FORROS EM REGUA DE PVC E PERFIS, CONSIDERANDO REAPROVEITAMENTO</t>
  </si>
  <si>
    <t>PINTURA</t>
  </si>
  <si>
    <t>APLICAÇÃO E LIXAMENTO DE MASSA LÁTEX EM PAREDES, DUAS DEMÃOS.</t>
  </si>
  <si>
    <t>APLICAÇÃO MANUAL DE PINTURA COM TINTA LÁTEX ACRÍLICA EM PAREDES, DUAS DEMÃOS.</t>
  </si>
  <si>
    <r>
      <t>m</t>
    </r>
    <r>
      <rPr>
        <b/>
        <sz val="11"/>
        <color theme="1"/>
        <rFont val="Calibri"/>
        <family val="2"/>
        <scheme val="minor"/>
      </rPr>
      <t>²</t>
    </r>
  </si>
  <si>
    <t>ESQUADRIAS</t>
  </si>
  <si>
    <t>PORTA DE VIDRO TEMPERADO 10MM COM BARRA ANTIPÂNICO</t>
  </si>
  <si>
    <t>PORTA DE MADEIRA SEMI-OCA (LEVE OU MÉDIA), 80X210CM</t>
  </si>
  <si>
    <t>un</t>
  </si>
  <si>
    <t>PUXADOR CENTRAL, TIPO ALCA, EM ZAMAC CROMADO, COM ROSETAS,</t>
  </si>
  <si>
    <t>PISO</t>
  </si>
  <si>
    <t>REVESTIMENTO CERÂMICO PARA PISO COM PLACAS TIPO ESMALTADA EXTRA DE DIMENSÕES 60X60 PISO SOBRE PISO COM ARGAMASSA ACIII</t>
  </si>
  <si>
    <t>TRATAMENTO DE PILARES COM FERRAGEM EXPOSTA E REQUADRO</t>
  </si>
  <si>
    <t xml:space="preserve">COBERTURA </t>
  </si>
  <si>
    <t>TELHAMENTO COM TELHA ONDULADA DE FIBROCIMENTO E = 6 MM</t>
  </si>
  <si>
    <t>m</t>
  </si>
  <si>
    <t>CONSERTO DE CALHA EM CHAPA DE AÇO GALVANIZADO</t>
  </si>
  <si>
    <t>FORRO DE PVC LISO, BRANCO, REGUA DE 20 CM</t>
  </si>
  <si>
    <t>LOCAL</t>
  </si>
  <si>
    <t>BDI 25%</t>
  </si>
  <si>
    <t>TOTAL COM BDI 25%</t>
  </si>
  <si>
    <t>ARMAÇÃO DE PILAR OU VIGA DE UMA ESTRUTURA CONVENCIONAL  AÇO CA-50</t>
  </si>
  <si>
    <t>kg</t>
  </si>
  <si>
    <t>ARMAÇÃO DE PILAR OU VIGA DE UMA ESTRUTURA CONVENCIONAL  AÇO CA-60</t>
  </si>
  <si>
    <t>VIDRO LISO COMUM TRANSPARENTE, ESPESSURA 3MM</t>
  </si>
  <si>
    <t>VIDRO FANTASIA TIPO CANELADO, ESPESSURA 4MM</t>
  </si>
  <si>
    <t>INSTALAÇÕES ELÉTRICAS</t>
  </si>
  <si>
    <t>LÂMPADA TUBULAR FLUORESCENTE, FORNECIMENTO E INSTALAÇÃO</t>
  </si>
  <si>
    <t>REF.</t>
  </si>
  <si>
    <t>SINAPI</t>
  </si>
  <si>
    <t>ITEM</t>
  </si>
  <si>
    <t>1.1</t>
  </si>
  <si>
    <t>3.3</t>
  </si>
  <si>
    <t>2.2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</si>
  <si>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</si>
  <si>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</si>
  <si>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</si>
  <si>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</si>
  <si>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</si>
  <si>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</si>
  <si>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</si>
  <si>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</si>
  <si>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</si>
  <si>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3.1</t>
  </si>
  <si>
    <t>3.2</t>
  </si>
  <si>
    <t>4.1</t>
  </si>
  <si>
    <t>4.2</t>
  </si>
  <si>
    <t>5.1</t>
  </si>
  <si>
    <t>5.2</t>
  </si>
  <si>
    <t>6.1</t>
  </si>
  <si>
    <t>6.2</t>
  </si>
  <si>
    <t>7.1</t>
  </si>
  <si>
    <t>8.1</t>
  </si>
  <si>
    <t>8.2</t>
  </si>
  <si>
    <t>9.1</t>
  </si>
  <si>
    <t>TOTAL GERAL</t>
  </si>
  <si>
    <t>OBRA: REFORMA DO CENTRO COMUNITÁRIO DO BAIRRO IGUAÇU</t>
  </si>
  <si>
    <t>9.2</t>
  </si>
  <si>
    <t>REPAROS EM PONTOS ELÉTRICOS DE TOMADAS E LUMINÁRIAS</t>
  </si>
  <si>
    <t>INSTALAÇÕES HIDRÁULICAS</t>
  </si>
  <si>
    <t>10.1</t>
  </si>
  <si>
    <t>REPAROS NA REDE HIDRÁULICA</t>
  </si>
  <si>
    <t>vg</t>
  </si>
  <si>
    <t>ELEVAÇÃO DA CHURASQUEIRA</t>
  </si>
  <si>
    <t>PAREDES</t>
  </si>
  <si>
    <t>DEMOLIÇÃO DE ALVENARIA DE BLOCO FURADO, DE FORMA MANUAL, SEM REAPROVEITAMENTO</t>
  </si>
  <si>
    <t>ALVENARIA DE VEDAÇÃO DE BLOCOS CERÂMICOS FURADOS NA HORIZONTAL DE 9X14X19</t>
  </si>
  <si>
    <t>7.2</t>
  </si>
  <si>
    <t>7.3</t>
  </si>
  <si>
    <t>7.4</t>
  </si>
  <si>
    <t>7.5</t>
  </si>
  <si>
    <t>10.2</t>
  </si>
  <si>
    <t>11.1</t>
  </si>
  <si>
    <t>87257 e 37595</t>
  </si>
  <si>
    <t>RODAPÉ CERÂMICO DE 7CM DE ALTURA COM PLACAS TIPO ESMALTADA EXTRA</t>
  </si>
  <si>
    <t>LOCAL: RUA MOISÉS VISSOTO 432 - QUADRA 200 - LOTE 16 E 17 - BAIRRO IGUAÇU</t>
  </si>
  <si>
    <t>PLANILHA ORÇAMENTÁRIA</t>
  </si>
  <si>
    <t>Responsável Técnico</t>
  </si>
  <si>
    <t>Eduardo H. Stringari</t>
  </si>
  <si>
    <t>Crea PR: 136.169/D</t>
  </si>
  <si>
    <t>CPF: 074.343.649-04</t>
  </si>
  <si>
    <t>CRONOGRAMA FÍSICO FINANCEIRO.</t>
  </si>
  <si>
    <t>mês 1</t>
  </si>
  <si>
    <t>mês 2</t>
  </si>
  <si>
    <t>mês 3</t>
  </si>
  <si>
    <t>mês 4</t>
  </si>
  <si>
    <t>Desembolso acumulado</t>
  </si>
  <si>
    <t xml:space="preserve">Percentual </t>
  </si>
  <si>
    <t>Percentual acumulado</t>
  </si>
  <si>
    <t xml:space="preserve">Desembolso mensal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</si>
</sst>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&quot;R$&quot;#,##0.00"/>
    <numFmt numFmtId="166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2" fontId="0" fillId="3" borderId="1" xfId="0" applyNumberFormat="1" applyFill="1" applyBorder="1"/>
    <xf numFmtId="2" fontId="0" fillId="0" borderId="1" xfId="0" applyNumberFormat="1" applyBorder="1"/>
    <xf numFmtId="2" fontId="0" fillId="0" borderId="0" xfId="0" applyNumberFormat="1"/>
    <xf numFmtId="2" fontId="0" fillId="2" borderId="1" xfId="0" applyNumberFormat="1" applyFill="1" applyBorder="1" applyAlignment="1">
      <alignment horizontal="left"/>
    </xf>
    <xf numFmtId="164" fontId="2" fillId="0" borderId="1" xfId="0" applyNumberFormat="1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5" xfId="0" applyBorder="1"/>
    <xf numFmtId="2" fontId="0" fillId="0" borderId="5" xfId="0" applyNumberFormat="1" applyBorder="1"/>
    <xf numFmtId="165" fontId="0" fillId="0" borderId="1" xfId="0" applyNumberFormat="1" applyFont="1" applyBorder="1"/>
    <xf numFmtId="16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43" fontId="5" fillId="0" borderId="1" xfId="1" applyFont="1" applyBorder="1" applyAlignment="1">
      <alignment horizontal="center"/>
    </xf>
    <xf numFmtId="166" fontId="5" fillId="0" borderId="4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5" fillId="0" borderId="1" xfId="0" applyFont="1" applyFill="1" applyBorder="1" applyAlignment="1">
      <alignment horizontal="left"/>
    </xf>
    <xf numFmtId="43" fontId="5" fillId="0" borderId="1" xfId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justify"/>
    </xf>
    <xf numFmtId="0" fontId="7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165" fontId="0" fillId="0" borderId="0" xfId="0" applyNumberFormat="1"/>
    <xf numFmtId="166" fontId="0" fillId="0" borderId="0" xfId="0" applyNumberFormat="1" applyFont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166" fontId="5" fillId="2" borderId="1" xfId="0" applyNumberFormat="1" applyFont="1" applyFill="1" applyBorder="1" applyAlignment="1">
      <alignment horizontal="left" vertical="center"/>
    </xf>
    <xf numFmtId="166" fontId="5" fillId="0" borderId="1" xfId="0" applyNumberFormat="1" applyFont="1" applyBorder="1" applyAlignment="1"/>
    <xf numFmtId="166" fontId="5" fillId="0" borderId="1" xfId="0" applyNumberFormat="1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0" fillId="0" borderId="5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166" fontId="5" fillId="0" borderId="2" xfId="0" applyNumberFormat="1" applyFont="1" applyBorder="1" applyAlignment="1">
      <alignment horizontal="center"/>
    </xf>
    <xf numFmtId="0" fontId="0" fillId="0" borderId="6" xfId="0" applyFont="1" applyBorder="1" applyAlignment="1">
      <alignment horizontal="left"/>
    </xf>
    <xf numFmtId="43" fontId="5" fillId="0" borderId="4" xfId="1" applyFont="1" applyBorder="1" applyAlignment="1">
      <alignment horizontal="center"/>
    </xf>
    <xf numFmtId="166" fontId="5" fillId="0" borderId="9" xfId="0" applyNumberFormat="1" applyFont="1" applyBorder="1" applyAlignment="1">
      <alignment horizontal="center"/>
    </xf>
    <xf numFmtId="43" fontId="5" fillId="0" borderId="4" xfId="1" applyFont="1" applyBorder="1" applyAlignment="1">
      <alignment horizontal="left"/>
    </xf>
    <xf numFmtId="166" fontId="5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12" xfId="0" applyFont="1" applyFill="1" applyBorder="1" applyAlignment="1">
      <alignment horizontal="left" vertical="justify"/>
    </xf>
    <xf numFmtId="166" fontId="5" fillId="0" borderId="10" xfId="0" applyNumberFormat="1" applyFont="1" applyBorder="1" applyAlignment="1">
      <alignment horizontal="center" vertical="center"/>
    </xf>
    <xf numFmtId="43" fontId="5" fillId="0" borderId="12" xfId="1" applyFont="1" applyBorder="1" applyAlignment="1">
      <alignment horizontal="center"/>
    </xf>
    <xf numFmtId="43" fontId="5" fillId="0" borderId="10" xfId="1" applyFont="1" applyBorder="1" applyAlignment="1">
      <alignment horizontal="center"/>
    </xf>
    <xf numFmtId="0" fontId="7" fillId="0" borderId="11" xfId="0" applyFont="1" applyFill="1" applyBorder="1" applyAlignment="1">
      <alignment horizontal="left"/>
    </xf>
    <xf numFmtId="10" fontId="5" fillId="0" borderId="8" xfId="0" applyNumberFormat="1" applyFont="1" applyFill="1" applyBorder="1" applyAlignment="1">
      <alignment horizontal="right"/>
    </xf>
    <xf numFmtId="10" fontId="5" fillId="0" borderId="11" xfId="0" applyNumberFormat="1" applyFont="1" applyFill="1" applyBorder="1" applyAlignment="1">
      <alignment horizontal="right"/>
    </xf>
    <xf numFmtId="0" fontId="7" fillId="0" borderId="10" xfId="0" applyFont="1" applyFill="1" applyBorder="1" applyAlignment="1">
      <alignment horizontal="left"/>
    </xf>
    <xf numFmtId="165" fontId="5" fillId="0" borderId="12" xfId="0" applyNumberFormat="1" applyFont="1" applyFill="1" applyBorder="1" applyAlignment="1">
      <alignment horizontal="right"/>
    </xf>
    <xf numFmtId="165" fontId="5" fillId="0" borderId="10" xfId="0" applyNumberFormat="1" applyFont="1" applyFill="1" applyBorder="1" applyAlignment="1">
      <alignment horizontal="right"/>
    </xf>
    <xf numFmtId="0" fontId="0" fillId="0" borderId="10" xfId="0" applyFont="1" applyBorder="1" applyAlignment="1">
      <alignment horizontal="left"/>
    </xf>
    <xf numFmtId="10" fontId="5" fillId="0" borderId="12" xfId="0" applyNumberFormat="1" applyFont="1" applyFill="1" applyBorder="1" applyAlignment="1">
      <alignment horizontal="right"/>
    </xf>
    <xf numFmtId="10" fontId="5" fillId="0" borderId="10" xfId="0" applyNumberFormat="1" applyFont="1" applyFill="1" applyBorder="1" applyAlignment="1">
      <alignment horizontal="right"/>
    </xf>
    <xf numFmtId="166" fontId="5" fillId="0" borderId="11" xfId="0" applyNumberFormat="1" applyFont="1" applyFill="1" applyBorder="1" applyAlignment="1">
      <alignment horizontal="left"/>
    </xf>
    <xf numFmtId="165" fontId="5" fillId="0" borderId="8" xfId="0" applyNumberFormat="1" applyFont="1" applyFill="1" applyBorder="1" applyAlignment="1">
      <alignment horizontal="right"/>
    </xf>
    <xf numFmtId="165" fontId="5" fillId="0" borderId="11" xfId="0" applyNumberFormat="1" applyFont="1" applyFill="1" applyBorder="1" applyAlignment="1">
      <alignment horizontal="right"/>
    </xf>
    <xf numFmtId="166" fontId="5" fillId="0" borderId="13" xfId="0" applyNumberFormat="1" applyFont="1" applyFill="1" applyBorder="1" applyAlignment="1">
      <alignment horizontal="center"/>
    </xf>
    <xf numFmtId="43" fontId="5" fillId="0" borderId="14" xfId="1" applyFont="1" applyBorder="1" applyAlignment="1">
      <alignment horizontal="center"/>
    </xf>
    <xf numFmtId="43" fontId="5" fillId="0" borderId="13" xfId="1" applyFont="1" applyBorder="1" applyAlignment="1">
      <alignment horizontal="center"/>
    </xf>
    <xf numFmtId="166" fontId="5" fillId="0" borderId="15" xfId="0" applyNumberFormat="1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166" fontId="5" fillId="0" borderId="2" xfId="0" applyNumberFormat="1" applyFont="1" applyBorder="1" applyAlignment="1">
      <alignment horizontal="center" vertical="center"/>
    </xf>
    <xf numFmtId="43" fontId="5" fillId="0" borderId="2" xfId="1" applyFont="1" applyBorder="1" applyAlignment="1">
      <alignment horizontal="center"/>
    </xf>
    <xf numFmtId="43" fontId="5" fillId="0" borderId="15" xfId="1" applyFont="1" applyBorder="1" applyAlignment="1">
      <alignment horizontal="center"/>
    </xf>
    <xf numFmtId="166" fontId="5" fillId="0" borderId="3" xfId="0" applyNumberFormat="1" applyFont="1" applyBorder="1" applyAlignment="1">
      <alignment horizontal="center" vertical="center"/>
    </xf>
    <xf numFmtId="43" fontId="5" fillId="0" borderId="7" xfId="1" applyFont="1" applyBorder="1" applyAlignment="1">
      <alignment horizontal="center"/>
    </xf>
    <xf numFmtId="43" fontId="5" fillId="0" borderId="16" xfId="1" applyFont="1" applyBorder="1" applyAlignment="1">
      <alignment horizontal="center"/>
    </xf>
    <xf numFmtId="0" fontId="0" fillId="0" borderId="17" xfId="0" applyFont="1" applyBorder="1" applyAlignment="1">
      <alignment horizontal="left"/>
    </xf>
    <xf numFmtId="165" fontId="0" fillId="0" borderId="1" xfId="0" applyNumberFormat="1" applyBorder="1"/>
    <xf numFmtId="165" fontId="0" fillId="3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4" fontId="6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2"/>
  <sheetViews>
    <sheetView tabSelected="1" workbookViewId="0">
      <selection activeCell="L5" sqref="L5"/>
    </sheetView>
  </sheetViews>
  <sheetFormatPr defaultRowHeight="15" x14ac:dyDescent="0.25"/>
  <cols>
    <col min="4" max="4" width="5.28515625" style="2" bestFit="1" customWidth="1"/>
    <col min="5" max="5" width="89.7109375" bestFit="1" customWidth="1"/>
    <col min="6" max="6" width="9.140625" bestFit="1" customWidth="1"/>
    <col min="7" max="8" width="9.140625" style="12"/>
    <col min="9" max="9" width="0" style="12" hidden="1" customWidth="1"/>
    <col min="10" max="10" width="13.28515625" hidden="1" customWidth="1"/>
    <col min="11" max="11" width="13.28515625" bestFit="1" customWidth="1"/>
  </cols>
  <sheetData>
    <row r="1" spans="2:12" ht="15.75" x14ac:dyDescent="0.25">
      <c r="E1" s="16" t="s">
        <v>97</v>
      </c>
    </row>
    <row r="2" spans="2:12" x14ac:dyDescent="0.25">
      <c r="E2" t="s">
        <v>77</v>
      </c>
    </row>
    <row r="3" spans="2:12" x14ac:dyDescent="0.25">
      <c r="E3" t="s">
        <v>96</v>
      </c>
    </row>
    <row r="5" spans="2:12" x14ac:dyDescent="0.25">
      <c r="B5" s="3" t="s">
        <v>49</v>
      </c>
      <c r="C5" s="3" t="s">
        <v>1</v>
      </c>
      <c r="D5" s="3" t="s">
        <v>51</v>
      </c>
      <c r="E5" s="3" t="s">
        <v>2</v>
      </c>
      <c r="F5" s="3" t="s">
        <v>6</v>
      </c>
      <c r="G5" s="13" t="s">
        <v>3</v>
      </c>
      <c r="H5" s="13" t="s">
        <v>4</v>
      </c>
      <c r="I5" s="13" t="s">
        <v>4</v>
      </c>
      <c r="J5" s="3" t="s">
        <v>5</v>
      </c>
      <c r="K5" s="3" t="s">
        <v>5</v>
      </c>
    </row>
    <row r="6" spans="2:12" x14ac:dyDescent="0.25">
      <c r="B6" s="4"/>
      <c r="C6" s="4"/>
      <c r="D6" s="5">
        <v>1</v>
      </c>
      <c r="E6" s="4" t="s">
        <v>84</v>
      </c>
      <c r="F6" s="4"/>
      <c r="G6" s="10"/>
      <c r="H6" s="10"/>
      <c r="I6" s="10"/>
      <c r="J6" s="10">
        <f>SUM(J7:J15)</f>
        <v>9807.4718250000005</v>
      </c>
      <c r="K6" s="81">
        <f>J6*$K$61</f>
        <v>12259.339781249999</v>
      </c>
    </row>
    <row r="7" spans="2:12" x14ac:dyDescent="0.25">
      <c r="B7" s="6" t="s">
        <v>50</v>
      </c>
      <c r="C7" s="6">
        <v>97628</v>
      </c>
      <c r="D7" s="7" t="s">
        <v>52</v>
      </c>
      <c r="E7" s="6" t="s">
        <v>0</v>
      </c>
      <c r="F7" s="6" t="s">
        <v>12</v>
      </c>
      <c r="G7" s="11">
        <v>4.26</v>
      </c>
      <c r="H7" s="11">
        <f>K7/G7</f>
        <v>279.38749999999993</v>
      </c>
      <c r="I7" s="11">
        <v>223.51</v>
      </c>
      <c r="J7" s="11">
        <f>G7*I7</f>
        <v>952.15259999999989</v>
      </c>
      <c r="K7" s="80">
        <v>1190.1907499999998</v>
      </c>
      <c r="L7" s="31">
        <f>K7/G7</f>
        <v>279.38749999999993</v>
      </c>
    </row>
    <row r="8" spans="2:12" x14ac:dyDescent="0.25">
      <c r="B8" s="6" t="s">
        <v>50</v>
      </c>
      <c r="C8" s="6" t="s">
        <v>18</v>
      </c>
      <c r="D8" s="7" t="s">
        <v>55</v>
      </c>
      <c r="E8" s="6" t="s">
        <v>7</v>
      </c>
      <c r="F8" s="6" t="s">
        <v>10</v>
      </c>
      <c r="G8" s="11">
        <f>30+22.2</f>
        <v>52.2</v>
      </c>
      <c r="H8" s="11">
        <f t="shared" ref="H8:H15" si="0">K8/G8</f>
        <v>89.299999999999983</v>
      </c>
      <c r="I8" s="11">
        <v>71.44</v>
      </c>
      <c r="J8" s="11">
        <f t="shared" ref="J8:J46" si="1">G8*I8</f>
        <v>3729.1680000000001</v>
      </c>
      <c r="K8" s="80">
        <v>4661.4599999999991</v>
      </c>
    </row>
    <row r="9" spans="2:12" x14ac:dyDescent="0.25">
      <c r="B9" s="6" t="s">
        <v>50</v>
      </c>
      <c r="C9" s="6">
        <v>92269</v>
      </c>
      <c r="D9" s="7" t="s">
        <v>56</v>
      </c>
      <c r="E9" s="6" t="s">
        <v>8</v>
      </c>
      <c r="F9" s="6" t="s">
        <v>10</v>
      </c>
      <c r="G9" s="11">
        <f>19.2/4</f>
        <v>4.8</v>
      </c>
      <c r="H9" s="11">
        <f t="shared" si="0"/>
        <v>107.08750000000001</v>
      </c>
      <c r="I9" s="11">
        <v>85.67</v>
      </c>
      <c r="J9" s="11">
        <f t="shared" si="1"/>
        <v>411.21600000000001</v>
      </c>
      <c r="K9" s="80">
        <v>514.02</v>
      </c>
    </row>
    <row r="10" spans="2:12" x14ac:dyDescent="0.25">
      <c r="B10" s="6" t="s">
        <v>50</v>
      </c>
      <c r="C10" s="6">
        <v>92270</v>
      </c>
      <c r="D10" s="7" t="s">
        <v>57</v>
      </c>
      <c r="E10" s="6" t="s">
        <v>9</v>
      </c>
      <c r="F10" s="6" t="s">
        <v>10</v>
      </c>
      <c r="G10" s="11">
        <f>25.95/4</f>
        <v>6.4874999999999998</v>
      </c>
      <c r="H10" s="11">
        <f t="shared" si="0"/>
        <v>87.737499999999983</v>
      </c>
      <c r="I10" s="11">
        <v>70.19</v>
      </c>
      <c r="J10" s="11">
        <f t="shared" si="1"/>
        <v>455.35762499999998</v>
      </c>
      <c r="K10" s="80">
        <v>569.1970312499999</v>
      </c>
    </row>
    <row r="11" spans="2:12" x14ac:dyDescent="0.25">
      <c r="B11" s="6" t="s">
        <v>50</v>
      </c>
      <c r="C11" s="6">
        <v>92718</v>
      </c>
      <c r="D11" s="7" t="s">
        <v>58</v>
      </c>
      <c r="E11" s="6" t="s">
        <v>11</v>
      </c>
      <c r="F11" s="6" t="s">
        <v>12</v>
      </c>
      <c r="G11" s="11">
        <v>0.6</v>
      </c>
      <c r="H11" s="11">
        <f t="shared" si="0"/>
        <v>604.73749999999995</v>
      </c>
      <c r="I11" s="11">
        <v>483.79</v>
      </c>
      <c r="J11" s="11">
        <f t="shared" si="1"/>
        <v>290.274</v>
      </c>
      <c r="K11" s="80">
        <v>362.84249999999997</v>
      </c>
    </row>
    <row r="12" spans="2:12" x14ac:dyDescent="0.25">
      <c r="B12" s="6" t="s">
        <v>50</v>
      </c>
      <c r="C12" s="6">
        <v>92741</v>
      </c>
      <c r="D12" s="7" t="s">
        <v>59</v>
      </c>
      <c r="E12" s="6" t="s">
        <v>13</v>
      </c>
      <c r="F12" s="6" t="s">
        <v>12</v>
      </c>
      <c r="G12" s="11">
        <v>1.56</v>
      </c>
      <c r="H12" s="11">
        <f t="shared" si="0"/>
        <v>685.87499999999989</v>
      </c>
      <c r="I12" s="11">
        <v>548.70000000000005</v>
      </c>
      <c r="J12" s="11">
        <f t="shared" si="1"/>
        <v>855.97200000000009</v>
      </c>
      <c r="K12" s="80">
        <v>1069.9649999999999</v>
      </c>
    </row>
    <row r="13" spans="2:12" x14ac:dyDescent="0.25">
      <c r="B13" s="6" t="s">
        <v>50</v>
      </c>
      <c r="C13" s="6">
        <v>92762</v>
      </c>
      <c r="D13" s="7" t="s">
        <v>60</v>
      </c>
      <c r="E13" s="6" t="s">
        <v>42</v>
      </c>
      <c r="F13" s="6" t="s">
        <v>43</v>
      </c>
      <c r="G13" s="11">
        <v>65</v>
      </c>
      <c r="H13" s="11">
        <f t="shared" si="0"/>
        <v>9.2249999999999979</v>
      </c>
      <c r="I13" s="11">
        <v>7.38</v>
      </c>
      <c r="J13" s="11">
        <f t="shared" si="1"/>
        <v>479.7</v>
      </c>
      <c r="K13" s="80">
        <v>599.62499999999989</v>
      </c>
    </row>
    <row r="14" spans="2:12" x14ac:dyDescent="0.25">
      <c r="B14" s="6" t="s">
        <v>50</v>
      </c>
      <c r="C14" s="6">
        <v>92775</v>
      </c>
      <c r="D14" s="7" t="s">
        <v>61</v>
      </c>
      <c r="E14" s="6" t="s">
        <v>44</v>
      </c>
      <c r="F14" s="6" t="s">
        <v>43</v>
      </c>
      <c r="G14" s="11">
        <v>7</v>
      </c>
      <c r="H14" s="11">
        <f t="shared" si="0"/>
        <v>16.0625</v>
      </c>
      <c r="I14" s="11">
        <v>12.85</v>
      </c>
      <c r="J14" s="11">
        <f t="shared" si="1"/>
        <v>89.95</v>
      </c>
      <c r="K14" s="80">
        <v>112.4375</v>
      </c>
    </row>
    <row r="15" spans="2:12" x14ac:dyDescent="0.25">
      <c r="B15" s="6" t="s">
        <v>50</v>
      </c>
      <c r="C15" s="6">
        <v>87508</v>
      </c>
      <c r="D15" s="7" t="s">
        <v>62</v>
      </c>
      <c r="E15" s="6" t="s">
        <v>14</v>
      </c>
      <c r="F15" s="6" t="s">
        <v>10</v>
      </c>
      <c r="G15" s="11">
        <v>38.32</v>
      </c>
      <c r="H15" s="11">
        <f t="shared" si="0"/>
        <v>82.97499999999998</v>
      </c>
      <c r="I15" s="11">
        <v>66.38</v>
      </c>
      <c r="J15" s="11">
        <f t="shared" si="1"/>
        <v>2543.6815999999999</v>
      </c>
      <c r="K15" s="80">
        <v>3179.6019999999994</v>
      </c>
    </row>
    <row r="16" spans="2:12" x14ac:dyDescent="0.25">
      <c r="B16" s="6"/>
      <c r="C16" s="6"/>
      <c r="D16" s="7"/>
      <c r="E16" s="6"/>
      <c r="F16" s="6"/>
      <c r="G16" s="11"/>
      <c r="H16" s="11"/>
      <c r="I16" s="11"/>
      <c r="J16" s="11"/>
      <c r="K16" s="11"/>
    </row>
    <row r="17" spans="2:11" x14ac:dyDescent="0.25">
      <c r="B17" s="4"/>
      <c r="C17" s="4"/>
      <c r="D17" s="5">
        <v>2</v>
      </c>
      <c r="E17" s="4" t="s">
        <v>85</v>
      </c>
      <c r="F17" s="4"/>
      <c r="G17" s="10"/>
      <c r="H17" s="10"/>
      <c r="I17" s="10"/>
      <c r="J17" s="10">
        <f>SUM(J18:J20)</f>
        <v>1928.4479999999999</v>
      </c>
      <c r="K17" s="81">
        <f>J17*$K$61</f>
        <v>2410.5599999999995</v>
      </c>
    </row>
    <row r="18" spans="2:11" x14ac:dyDescent="0.25">
      <c r="B18" s="6" t="s">
        <v>50</v>
      </c>
      <c r="C18" s="6">
        <v>97622</v>
      </c>
      <c r="D18" s="7" t="s">
        <v>63</v>
      </c>
      <c r="E18" s="6" t="s">
        <v>86</v>
      </c>
      <c r="F18" s="6" t="s">
        <v>10</v>
      </c>
      <c r="G18" s="11">
        <v>17.28</v>
      </c>
      <c r="H18" s="11">
        <f>K18/G18</f>
        <v>56.524999999999991</v>
      </c>
      <c r="I18" s="11">
        <v>45.22</v>
      </c>
      <c r="J18" s="11">
        <f t="shared" ref="J18" si="2">G18*I18</f>
        <v>781.40160000000003</v>
      </c>
      <c r="K18" s="80">
        <v>976.75199999999995</v>
      </c>
    </row>
    <row r="19" spans="2:11" x14ac:dyDescent="0.25">
      <c r="B19" s="6" t="s">
        <v>50</v>
      </c>
      <c r="C19" s="6">
        <v>87508</v>
      </c>
      <c r="D19" s="7" t="s">
        <v>54</v>
      </c>
      <c r="E19" s="6" t="s">
        <v>87</v>
      </c>
      <c r="F19" s="6" t="s">
        <v>10</v>
      </c>
      <c r="G19" s="11">
        <f>G18</f>
        <v>17.28</v>
      </c>
      <c r="H19" s="11">
        <f>K19/G19</f>
        <v>82.97499999999998</v>
      </c>
      <c r="I19" s="11">
        <v>66.38</v>
      </c>
      <c r="J19" s="11">
        <f>G19*I19</f>
        <v>1147.0463999999999</v>
      </c>
      <c r="K19" s="80">
        <v>1433.8079999999998</v>
      </c>
    </row>
    <row r="20" spans="2:11" x14ac:dyDescent="0.25">
      <c r="B20" s="6"/>
      <c r="C20" s="6"/>
      <c r="D20" s="7"/>
      <c r="E20" s="6"/>
      <c r="F20" s="6"/>
      <c r="G20" s="11"/>
      <c r="H20" s="11"/>
      <c r="I20" s="11"/>
      <c r="J20" s="11"/>
      <c r="K20" s="11"/>
    </row>
    <row r="21" spans="2:11" x14ac:dyDescent="0.25">
      <c r="B21" s="4"/>
      <c r="C21" s="4"/>
      <c r="D21" s="5">
        <v>3</v>
      </c>
      <c r="E21" s="4" t="s">
        <v>33</v>
      </c>
      <c r="F21" s="4"/>
      <c r="G21" s="10"/>
      <c r="H21" s="10"/>
      <c r="I21" s="10"/>
      <c r="J21" s="10">
        <f>SUM(J22:J24)</f>
        <v>82.42174</v>
      </c>
      <c r="K21" s="81">
        <f>J21*$K$61</f>
        <v>103.02717499999999</v>
      </c>
    </row>
    <row r="22" spans="2:11" x14ac:dyDescent="0.25">
      <c r="B22" s="6" t="s">
        <v>50</v>
      </c>
      <c r="C22" s="6">
        <v>90278</v>
      </c>
      <c r="D22" s="7" t="s">
        <v>64</v>
      </c>
      <c r="E22" s="6" t="s">
        <v>15</v>
      </c>
      <c r="F22" s="6" t="s">
        <v>12</v>
      </c>
      <c r="G22" s="11">
        <v>5.6000000000000001E-2</v>
      </c>
      <c r="H22" s="11">
        <f>K22/G22</f>
        <v>341.61249999999995</v>
      </c>
      <c r="I22" s="11">
        <v>273.29000000000002</v>
      </c>
      <c r="J22" s="11">
        <f t="shared" si="1"/>
        <v>15.304240000000002</v>
      </c>
      <c r="K22" s="80">
        <v>19.130299999999998</v>
      </c>
    </row>
    <row r="23" spans="2:11" x14ac:dyDescent="0.25">
      <c r="B23" s="6" t="s">
        <v>50</v>
      </c>
      <c r="C23" s="6">
        <v>87879</v>
      </c>
      <c r="D23" s="7" t="s">
        <v>65</v>
      </c>
      <c r="E23" s="6" t="s">
        <v>16</v>
      </c>
      <c r="F23" s="6" t="s">
        <v>10</v>
      </c>
      <c r="G23" s="11">
        <v>2.25</v>
      </c>
      <c r="H23" s="11">
        <f t="shared" ref="H23:H24" si="3">K23/G23</f>
        <v>4.0999999999999988</v>
      </c>
      <c r="I23" s="11">
        <v>3.28</v>
      </c>
      <c r="J23" s="11">
        <f t="shared" si="1"/>
        <v>7.38</v>
      </c>
      <c r="K23" s="80">
        <v>9.2249999999999979</v>
      </c>
    </row>
    <row r="24" spans="2:11" x14ac:dyDescent="0.25">
      <c r="B24" s="6" t="s">
        <v>50</v>
      </c>
      <c r="C24" s="6">
        <v>87529</v>
      </c>
      <c r="D24" s="7" t="s">
        <v>53</v>
      </c>
      <c r="E24" s="6" t="s">
        <v>17</v>
      </c>
      <c r="F24" s="6" t="s">
        <v>10</v>
      </c>
      <c r="G24" s="11">
        <v>2.25</v>
      </c>
      <c r="H24" s="11">
        <f t="shared" si="3"/>
        <v>33.187499999999993</v>
      </c>
      <c r="I24" s="11">
        <v>26.55</v>
      </c>
      <c r="J24" s="11">
        <f t="shared" si="1"/>
        <v>59.737500000000004</v>
      </c>
      <c r="K24" s="80">
        <v>74.671874999999986</v>
      </c>
    </row>
    <row r="25" spans="2:11" x14ac:dyDescent="0.25">
      <c r="B25" s="6"/>
      <c r="C25" s="6"/>
      <c r="D25" s="7"/>
      <c r="E25" s="6"/>
      <c r="F25" s="6"/>
      <c r="G25" s="11"/>
      <c r="H25" s="11"/>
      <c r="I25" s="11"/>
      <c r="J25" s="11"/>
      <c r="K25" s="11"/>
    </row>
    <row r="26" spans="2:11" x14ac:dyDescent="0.25">
      <c r="B26" s="4"/>
      <c r="C26" s="4"/>
      <c r="D26" s="5">
        <v>4</v>
      </c>
      <c r="E26" s="4" t="s">
        <v>19</v>
      </c>
      <c r="F26" s="4"/>
      <c r="G26" s="10"/>
      <c r="H26" s="10"/>
      <c r="I26" s="10"/>
      <c r="J26" s="10">
        <f>SUM(J27:J28)</f>
        <v>7271.7636000000002</v>
      </c>
      <c r="K26" s="81">
        <f>J26*$K$61</f>
        <v>9089.704499999998</v>
      </c>
    </row>
    <row r="27" spans="2:11" x14ac:dyDescent="0.25">
      <c r="B27" s="6" t="s">
        <v>50</v>
      </c>
      <c r="C27" s="6">
        <v>87879</v>
      </c>
      <c r="D27" s="7" t="s">
        <v>66</v>
      </c>
      <c r="E27" s="6" t="s">
        <v>16</v>
      </c>
      <c r="F27" s="6" t="s">
        <v>10</v>
      </c>
      <c r="G27" s="11">
        <v>262.14</v>
      </c>
      <c r="H27" s="11">
        <f>K27/G27</f>
        <v>3.8124999999999991</v>
      </c>
      <c r="I27" s="11">
        <v>3.05</v>
      </c>
      <c r="J27" s="11">
        <f t="shared" si="1"/>
        <v>799.52699999999993</v>
      </c>
      <c r="K27" s="80">
        <v>999.40874999999971</v>
      </c>
    </row>
    <row r="28" spans="2:11" x14ac:dyDescent="0.25">
      <c r="B28" s="6" t="s">
        <v>50</v>
      </c>
      <c r="C28" s="6">
        <v>87529</v>
      </c>
      <c r="D28" s="7" t="s">
        <v>67</v>
      </c>
      <c r="E28" s="6" t="s">
        <v>17</v>
      </c>
      <c r="F28" s="6" t="s">
        <v>10</v>
      </c>
      <c r="G28" s="11">
        <f>G27</f>
        <v>262.14</v>
      </c>
      <c r="H28" s="11">
        <f>K28/G28</f>
        <v>30.862499999999994</v>
      </c>
      <c r="I28" s="11">
        <v>24.69</v>
      </c>
      <c r="J28" s="11">
        <f t="shared" si="1"/>
        <v>6472.2366000000002</v>
      </c>
      <c r="K28" s="80">
        <v>8090.2957499999975</v>
      </c>
    </row>
    <row r="29" spans="2:11" x14ac:dyDescent="0.25">
      <c r="B29" s="6"/>
      <c r="C29" s="6"/>
      <c r="D29" s="7"/>
      <c r="E29" s="6"/>
      <c r="F29" s="6"/>
      <c r="G29" s="11"/>
      <c r="H29" s="11"/>
      <c r="I29" s="11"/>
      <c r="J29" s="11"/>
      <c r="K29" s="11"/>
    </row>
    <row r="30" spans="2:11" x14ac:dyDescent="0.25">
      <c r="B30" s="4"/>
      <c r="C30" s="4"/>
      <c r="D30" s="5">
        <v>5</v>
      </c>
      <c r="E30" s="4" t="s">
        <v>20</v>
      </c>
      <c r="F30" s="4"/>
      <c r="G30" s="10"/>
      <c r="H30" s="10"/>
      <c r="I30" s="10"/>
      <c r="J30" s="10">
        <f>SUM(J31:J32)</f>
        <v>957.62700000000007</v>
      </c>
      <c r="K30" s="81">
        <f>J30*$K$61</f>
        <v>1197.0337499999998</v>
      </c>
    </row>
    <row r="31" spans="2:11" x14ac:dyDescent="0.25">
      <c r="B31" s="6" t="s">
        <v>50</v>
      </c>
      <c r="C31" s="6">
        <v>72201</v>
      </c>
      <c r="D31" s="7" t="s">
        <v>68</v>
      </c>
      <c r="E31" s="6" t="s">
        <v>21</v>
      </c>
      <c r="F31" s="6" t="s">
        <v>10</v>
      </c>
      <c r="G31" s="11">
        <v>25.2</v>
      </c>
      <c r="H31" s="11">
        <f>K31/G31</f>
        <v>12.762500000000001</v>
      </c>
      <c r="I31" s="11">
        <v>10.210000000000001</v>
      </c>
      <c r="J31" s="11">
        <f t="shared" si="1"/>
        <v>257.29200000000003</v>
      </c>
      <c r="K31" s="80">
        <v>321.61500000000001</v>
      </c>
    </row>
    <row r="32" spans="2:11" x14ac:dyDescent="0.25">
      <c r="B32" s="6" t="s">
        <v>50</v>
      </c>
      <c r="C32" s="6">
        <v>36225</v>
      </c>
      <c r="D32" s="7" t="s">
        <v>69</v>
      </c>
      <c r="E32" s="6" t="s">
        <v>38</v>
      </c>
      <c r="F32" s="6" t="s">
        <v>10</v>
      </c>
      <c r="G32" s="11">
        <f>25.2+14.3</f>
        <v>39.5</v>
      </c>
      <c r="H32" s="11">
        <f>K32/G32</f>
        <v>22.162499999999994</v>
      </c>
      <c r="I32" s="11">
        <v>17.73</v>
      </c>
      <c r="J32" s="11">
        <f t="shared" si="1"/>
        <v>700.33500000000004</v>
      </c>
      <c r="K32" s="80">
        <v>875.41874999999982</v>
      </c>
    </row>
    <row r="33" spans="2:11" x14ac:dyDescent="0.25">
      <c r="B33" s="6"/>
      <c r="C33" s="6"/>
      <c r="D33" s="7"/>
      <c r="E33" s="6"/>
      <c r="F33" s="6"/>
      <c r="G33" s="11"/>
      <c r="H33" s="11"/>
      <c r="I33" s="11"/>
      <c r="J33" s="11"/>
      <c r="K33" s="11"/>
    </row>
    <row r="34" spans="2:11" x14ac:dyDescent="0.25">
      <c r="B34" s="4"/>
      <c r="C34" s="4"/>
      <c r="D34" s="5">
        <v>6</v>
      </c>
      <c r="E34" s="4" t="s">
        <v>22</v>
      </c>
      <c r="F34" s="4"/>
      <c r="G34" s="10"/>
      <c r="H34" s="10"/>
      <c r="I34" s="10"/>
      <c r="J34" s="10">
        <f>SUM(J35:J36)</f>
        <v>7634.4175999999998</v>
      </c>
      <c r="K34" s="81">
        <f>J34*$K$61</f>
        <v>9543.0219999999972</v>
      </c>
    </row>
    <row r="35" spans="2:11" x14ac:dyDescent="0.25">
      <c r="B35" s="6" t="s">
        <v>50</v>
      </c>
      <c r="C35" s="6">
        <v>88497</v>
      </c>
      <c r="D35" s="7" t="s">
        <v>70</v>
      </c>
      <c r="E35" s="6" t="s">
        <v>23</v>
      </c>
      <c r="F35" s="6" t="s">
        <v>10</v>
      </c>
      <c r="G35" s="11">
        <f>G27</f>
        <v>262.14</v>
      </c>
      <c r="H35" s="11">
        <f>K35/G35</f>
        <v>17.149999999999999</v>
      </c>
      <c r="I35" s="11">
        <v>13.72</v>
      </c>
      <c r="J35" s="11">
        <f t="shared" si="1"/>
        <v>3596.5608000000002</v>
      </c>
      <c r="K35" s="80">
        <v>4495.7009999999991</v>
      </c>
    </row>
    <row r="36" spans="2:11" x14ac:dyDescent="0.25">
      <c r="B36" s="6" t="s">
        <v>50</v>
      </c>
      <c r="C36" s="6">
        <v>88489</v>
      </c>
      <c r="D36" s="7" t="s">
        <v>71</v>
      </c>
      <c r="E36" s="6" t="s">
        <v>24</v>
      </c>
      <c r="F36" s="6" t="s">
        <v>25</v>
      </c>
      <c r="G36" s="11">
        <f>G27+68.02</f>
        <v>330.15999999999997</v>
      </c>
      <c r="H36" s="11">
        <f>K36/G36</f>
        <v>15.287499999999996</v>
      </c>
      <c r="I36" s="11">
        <v>12.23</v>
      </c>
      <c r="J36" s="11">
        <f t="shared" si="1"/>
        <v>4037.8567999999996</v>
      </c>
      <c r="K36" s="80">
        <v>5047.3209999999981</v>
      </c>
    </row>
    <row r="37" spans="2:11" x14ac:dyDescent="0.25">
      <c r="B37" s="6"/>
      <c r="C37" s="6"/>
      <c r="D37" s="7"/>
      <c r="E37" s="6"/>
      <c r="F37" s="6"/>
      <c r="G37" s="11"/>
      <c r="H37" s="11"/>
      <c r="I37" s="11"/>
      <c r="J37" s="11"/>
      <c r="K37" s="11"/>
    </row>
    <row r="38" spans="2:11" x14ac:dyDescent="0.25">
      <c r="B38" s="4"/>
      <c r="C38" s="4"/>
      <c r="D38" s="5">
        <v>7</v>
      </c>
      <c r="E38" s="4" t="s">
        <v>26</v>
      </c>
      <c r="F38" s="4"/>
      <c r="G38" s="10"/>
      <c r="H38" s="10"/>
      <c r="I38" s="10"/>
      <c r="J38" s="10">
        <f>SUM(J39:J43)</f>
        <v>4542.0273999999999</v>
      </c>
      <c r="K38" s="81">
        <f>J38*$K$61</f>
        <v>5677.5342499999988</v>
      </c>
    </row>
    <row r="39" spans="2:11" x14ac:dyDescent="0.25">
      <c r="B39" s="6" t="s">
        <v>39</v>
      </c>
      <c r="C39" s="6"/>
      <c r="D39" s="7" t="s">
        <v>72</v>
      </c>
      <c r="E39" s="6" t="s">
        <v>27</v>
      </c>
      <c r="F39" s="6" t="s">
        <v>29</v>
      </c>
      <c r="G39" s="11">
        <v>1</v>
      </c>
      <c r="H39" s="11">
        <f>K39/G39</f>
        <v>4562.4999999999991</v>
      </c>
      <c r="I39" s="11">
        <v>3650</v>
      </c>
      <c r="J39" s="11">
        <f>I39</f>
        <v>3650</v>
      </c>
      <c r="K39" s="80">
        <v>4562.4999999999991</v>
      </c>
    </row>
    <row r="40" spans="2:11" x14ac:dyDescent="0.25">
      <c r="B40" s="6" t="s">
        <v>50</v>
      </c>
      <c r="C40" s="6">
        <v>91297</v>
      </c>
      <c r="D40" s="7" t="s">
        <v>88</v>
      </c>
      <c r="E40" s="6" t="s">
        <v>28</v>
      </c>
      <c r="F40" s="6" t="s">
        <v>29</v>
      </c>
      <c r="G40" s="11">
        <v>2</v>
      </c>
      <c r="H40" s="11">
        <f t="shared" ref="H40:H43" si="4">K40/G40</f>
        <v>395.33749999999986</v>
      </c>
      <c r="I40" s="11">
        <v>316.27</v>
      </c>
      <c r="J40" s="11">
        <f t="shared" si="1"/>
        <v>632.54</v>
      </c>
      <c r="K40" s="80">
        <v>790.67499999999973</v>
      </c>
    </row>
    <row r="41" spans="2:11" x14ac:dyDescent="0.25">
      <c r="B41" s="6" t="s">
        <v>50</v>
      </c>
      <c r="C41" s="6">
        <v>5080</v>
      </c>
      <c r="D41" s="7" t="s">
        <v>89</v>
      </c>
      <c r="E41" s="6" t="s">
        <v>30</v>
      </c>
      <c r="F41" s="6" t="s">
        <v>29</v>
      </c>
      <c r="G41" s="11">
        <v>10</v>
      </c>
      <c r="H41" s="11">
        <f t="shared" si="4"/>
        <v>13.1</v>
      </c>
      <c r="I41" s="11">
        <v>10.48</v>
      </c>
      <c r="J41" s="11">
        <f t="shared" si="1"/>
        <v>104.80000000000001</v>
      </c>
      <c r="K41" s="80">
        <v>131</v>
      </c>
    </row>
    <row r="42" spans="2:11" x14ac:dyDescent="0.25">
      <c r="B42" s="6" t="s">
        <v>50</v>
      </c>
      <c r="C42" s="6">
        <v>72116</v>
      </c>
      <c r="D42" s="7" t="s">
        <v>90</v>
      </c>
      <c r="E42" s="6" t="s">
        <v>45</v>
      </c>
      <c r="F42" s="6" t="s">
        <v>10</v>
      </c>
      <c r="G42" s="11">
        <v>1.26</v>
      </c>
      <c r="H42" s="11">
        <f t="shared" si="4"/>
        <v>141.11249999999998</v>
      </c>
      <c r="I42" s="11">
        <v>112.89</v>
      </c>
      <c r="J42" s="11">
        <f t="shared" si="1"/>
        <v>142.2414</v>
      </c>
      <c r="K42" s="80">
        <v>177.80174999999997</v>
      </c>
    </row>
    <row r="43" spans="2:11" x14ac:dyDescent="0.25">
      <c r="B43" s="6" t="s">
        <v>50</v>
      </c>
      <c r="C43" s="6">
        <v>72122</v>
      </c>
      <c r="D43" s="7" t="s">
        <v>91</v>
      </c>
      <c r="E43" s="6" t="s">
        <v>46</v>
      </c>
      <c r="F43" s="6" t="s">
        <v>10</v>
      </c>
      <c r="G43" s="11">
        <v>0.1</v>
      </c>
      <c r="H43" s="11">
        <f t="shared" si="4"/>
        <v>155.57499999999996</v>
      </c>
      <c r="I43" s="11">
        <v>124.46</v>
      </c>
      <c r="J43" s="11">
        <f t="shared" si="1"/>
        <v>12.446</v>
      </c>
      <c r="K43" s="80">
        <v>15.557499999999997</v>
      </c>
    </row>
    <row r="44" spans="2:11" x14ac:dyDescent="0.25">
      <c r="B44" s="6"/>
      <c r="C44" s="6"/>
      <c r="D44" s="7"/>
      <c r="E44" s="6"/>
      <c r="F44" s="6"/>
      <c r="G44" s="11"/>
      <c r="H44" s="11"/>
      <c r="I44" s="11"/>
      <c r="J44" s="11"/>
      <c r="K44" s="11"/>
    </row>
    <row r="45" spans="2:11" x14ac:dyDescent="0.25">
      <c r="B45" s="4"/>
      <c r="C45" s="4"/>
      <c r="D45" s="5">
        <v>8</v>
      </c>
      <c r="E45" s="4" t="s">
        <v>31</v>
      </c>
      <c r="F45" s="4"/>
      <c r="G45" s="10"/>
      <c r="H45" s="10"/>
      <c r="I45" s="10"/>
      <c r="J45" s="10">
        <f>SUM(J46:J47)</f>
        <v>25486.419400000002</v>
      </c>
      <c r="K45" s="81">
        <f>J45*$K$61</f>
        <v>31858.024249999999</v>
      </c>
    </row>
    <row r="46" spans="2:11" ht="30" x14ac:dyDescent="0.25">
      <c r="B46" s="6" t="s">
        <v>50</v>
      </c>
      <c r="C46" s="8" t="s">
        <v>94</v>
      </c>
      <c r="D46" s="7" t="s">
        <v>73</v>
      </c>
      <c r="E46" s="8" t="s">
        <v>32</v>
      </c>
      <c r="F46" s="6" t="s">
        <v>10</v>
      </c>
      <c r="G46" s="11">
        <v>414.39</v>
      </c>
      <c r="H46" s="11">
        <f>K46/G46</f>
        <v>75.575000000000003</v>
      </c>
      <c r="I46" s="11">
        <f>51.59+8.87</f>
        <v>60.46</v>
      </c>
      <c r="J46" s="11">
        <f t="shared" si="1"/>
        <v>25054.019400000001</v>
      </c>
      <c r="K46" s="80">
        <v>31317.524249999999</v>
      </c>
    </row>
    <row r="47" spans="2:11" x14ac:dyDescent="0.25">
      <c r="B47" s="6"/>
      <c r="C47" s="8">
        <v>88648</v>
      </c>
      <c r="D47" s="7" t="s">
        <v>74</v>
      </c>
      <c r="E47" s="8" t="s">
        <v>95</v>
      </c>
      <c r="F47" s="6" t="s">
        <v>36</v>
      </c>
      <c r="G47" s="11">
        <v>92</v>
      </c>
      <c r="H47" s="11">
        <f>K47/G47</f>
        <v>5.875</v>
      </c>
      <c r="I47" s="11">
        <v>4.7</v>
      </c>
      <c r="J47" s="11">
        <f>G47*I47</f>
        <v>432.40000000000003</v>
      </c>
      <c r="K47" s="80">
        <v>540.5</v>
      </c>
    </row>
    <row r="48" spans="2:11" x14ac:dyDescent="0.25">
      <c r="B48" s="6"/>
      <c r="C48" s="6"/>
      <c r="D48" s="7"/>
      <c r="E48" s="8"/>
      <c r="F48" s="6"/>
      <c r="G48" s="11"/>
      <c r="H48" s="11"/>
      <c r="I48" s="11"/>
      <c r="J48" s="11"/>
      <c r="K48" s="11"/>
    </row>
    <row r="49" spans="2:11" x14ac:dyDescent="0.25">
      <c r="B49" s="4"/>
      <c r="C49" s="4"/>
      <c r="D49" s="5">
        <v>9</v>
      </c>
      <c r="E49" s="9" t="s">
        <v>34</v>
      </c>
      <c r="F49" s="4"/>
      <c r="G49" s="10"/>
      <c r="H49" s="10"/>
      <c r="I49" s="10"/>
      <c r="J49" s="10">
        <f>SUM(J50:J51)</f>
        <v>620.84580000000005</v>
      </c>
      <c r="K49" s="81">
        <f>J49*$K$61</f>
        <v>776.05724999999995</v>
      </c>
    </row>
    <row r="50" spans="2:11" x14ac:dyDescent="0.25">
      <c r="B50" s="6" t="s">
        <v>50</v>
      </c>
      <c r="C50" s="6">
        <v>94207</v>
      </c>
      <c r="D50" s="7" t="s">
        <v>75</v>
      </c>
      <c r="E50" s="8" t="s">
        <v>35</v>
      </c>
      <c r="F50" s="6" t="s">
        <v>10</v>
      </c>
      <c r="G50" s="11">
        <v>2.34</v>
      </c>
      <c r="H50" s="11">
        <f>K50/G50</f>
        <v>40.462499999999991</v>
      </c>
      <c r="I50" s="11">
        <v>32.369999999999997</v>
      </c>
      <c r="J50" s="11">
        <f t="shared" ref="J50:J51" si="5">G50*I50</f>
        <v>75.745799999999988</v>
      </c>
      <c r="K50" s="80">
        <v>94.682249999999968</v>
      </c>
    </row>
    <row r="51" spans="2:11" x14ac:dyDescent="0.25">
      <c r="B51" s="6" t="s">
        <v>50</v>
      </c>
      <c r="C51" s="6">
        <v>94228</v>
      </c>
      <c r="D51" s="7" t="s">
        <v>78</v>
      </c>
      <c r="E51" s="6" t="s">
        <v>37</v>
      </c>
      <c r="F51" s="6" t="s">
        <v>36</v>
      </c>
      <c r="G51" s="11">
        <v>10</v>
      </c>
      <c r="H51" s="11">
        <f>K51/G51</f>
        <v>68.137500000000003</v>
      </c>
      <c r="I51" s="11">
        <v>54.51</v>
      </c>
      <c r="J51" s="11">
        <f t="shared" si="5"/>
        <v>545.1</v>
      </c>
      <c r="K51" s="80">
        <v>681.375</v>
      </c>
    </row>
    <row r="52" spans="2:11" x14ac:dyDescent="0.25">
      <c r="B52" s="6"/>
      <c r="C52" s="6"/>
      <c r="D52" s="7"/>
      <c r="E52" s="6"/>
      <c r="F52" s="6"/>
      <c r="G52" s="11"/>
      <c r="H52" s="11"/>
      <c r="I52" s="11"/>
      <c r="J52" s="11"/>
      <c r="K52" s="11"/>
    </row>
    <row r="53" spans="2:11" x14ac:dyDescent="0.25">
      <c r="B53" s="4"/>
      <c r="C53" s="4"/>
      <c r="D53" s="5">
        <v>10</v>
      </c>
      <c r="E53" s="9" t="s">
        <v>47</v>
      </c>
      <c r="F53" s="4"/>
      <c r="G53" s="10"/>
      <c r="H53" s="10"/>
      <c r="I53" s="10"/>
      <c r="J53" s="10">
        <f>SUM(J54:J55)</f>
        <v>1403.7</v>
      </c>
      <c r="K53" s="81">
        <f>J53*$K$61</f>
        <v>1754.6249999999998</v>
      </c>
    </row>
    <row r="54" spans="2:11" x14ac:dyDescent="0.25">
      <c r="B54" s="6" t="s">
        <v>50</v>
      </c>
      <c r="C54" s="6">
        <v>97615</v>
      </c>
      <c r="D54" s="7" t="s">
        <v>81</v>
      </c>
      <c r="E54" s="8" t="s">
        <v>48</v>
      </c>
      <c r="F54" s="6" t="s">
        <v>29</v>
      </c>
      <c r="G54" s="11">
        <v>30</v>
      </c>
      <c r="H54" s="11">
        <f>K54/G54</f>
        <v>42.86249999999999</v>
      </c>
      <c r="I54" s="11">
        <v>34.29</v>
      </c>
      <c r="J54" s="11">
        <f t="shared" ref="J54" si="6">G54*I54</f>
        <v>1028.7</v>
      </c>
      <c r="K54" s="80">
        <v>1285.8749999999998</v>
      </c>
    </row>
    <row r="55" spans="2:11" x14ac:dyDescent="0.25">
      <c r="B55" s="6" t="s">
        <v>39</v>
      </c>
      <c r="C55" s="6"/>
      <c r="D55" s="7" t="s">
        <v>92</v>
      </c>
      <c r="E55" s="8" t="s">
        <v>79</v>
      </c>
      <c r="F55" s="6" t="s">
        <v>29</v>
      </c>
      <c r="G55" s="11">
        <v>15</v>
      </c>
      <c r="H55" s="11">
        <f>K55/G55</f>
        <v>31.249999999999993</v>
      </c>
      <c r="I55" s="11">
        <v>25</v>
      </c>
      <c r="J55" s="11">
        <f t="shared" ref="J55" si="7">G55*I55</f>
        <v>375</v>
      </c>
      <c r="K55" s="80">
        <v>468.74999999999989</v>
      </c>
    </row>
    <row r="56" spans="2:11" x14ac:dyDescent="0.25">
      <c r="B56" s="6"/>
      <c r="C56" s="6"/>
      <c r="D56" s="7"/>
      <c r="E56" s="8"/>
      <c r="F56" s="6"/>
      <c r="G56" s="11"/>
      <c r="H56" s="11"/>
      <c r="I56" s="11"/>
      <c r="J56" s="11"/>
      <c r="K56" s="11"/>
    </row>
    <row r="57" spans="2:11" x14ac:dyDescent="0.25">
      <c r="B57" s="4"/>
      <c r="C57" s="4"/>
      <c r="D57" s="5">
        <v>11</v>
      </c>
      <c r="E57" s="9" t="s">
        <v>80</v>
      </c>
      <c r="F57" s="4"/>
      <c r="G57" s="10"/>
      <c r="H57" s="10"/>
      <c r="I57" s="10"/>
      <c r="J57" s="10">
        <f>SUM(J58:J59)</f>
        <v>200</v>
      </c>
      <c r="K57" s="81">
        <f>J57*$K$61</f>
        <v>249.99999999999994</v>
      </c>
    </row>
    <row r="58" spans="2:11" x14ac:dyDescent="0.25">
      <c r="B58" s="6" t="s">
        <v>39</v>
      </c>
      <c r="C58" s="6"/>
      <c r="D58" s="7" t="s">
        <v>93</v>
      </c>
      <c r="E58" s="8" t="s">
        <v>82</v>
      </c>
      <c r="F58" s="6" t="s">
        <v>83</v>
      </c>
      <c r="G58" s="11">
        <v>1</v>
      </c>
      <c r="H58" s="11">
        <f>K58/G58</f>
        <v>249.99999999999991</v>
      </c>
      <c r="I58" s="11">
        <v>200</v>
      </c>
      <c r="J58" s="11">
        <f t="shared" ref="J58" si="8">G58*I58</f>
        <v>200</v>
      </c>
      <c r="K58" s="80">
        <f>J58*$K$57/$J$57</f>
        <v>249.99999999999991</v>
      </c>
    </row>
    <row r="59" spans="2:11" x14ac:dyDescent="0.25">
      <c r="E59" s="1"/>
      <c r="J59" s="12"/>
    </row>
    <row r="60" spans="2:11" hidden="1" x14ac:dyDescent="0.25">
      <c r="E60" s="8" t="s">
        <v>76</v>
      </c>
      <c r="F60" s="82"/>
      <c r="G60" s="83"/>
      <c r="H60" s="83"/>
      <c r="I60" s="84"/>
      <c r="J60" s="19">
        <f>SUM(J7:J15,J18:J19,J22:J24,J27:J28,J31:J32,J35:J36,J39:J43,J46:J47,J50:J51,J54:J55,J58)</f>
        <v>59935.142364999985</v>
      </c>
      <c r="K60" s="31">
        <f>SUM(J6,J17,J21,J26,J30,J34,J38,J45,J49,J53,J57)</f>
        <v>59935.142365</v>
      </c>
    </row>
    <row r="61" spans="2:11" hidden="1" x14ac:dyDescent="0.25">
      <c r="E61" s="8" t="s">
        <v>40</v>
      </c>
      <c r="F61" s="82"/>
      <c r="G61" s="83"/>
      <c r="H61" s="83"/>
      <c r="I61" s="84"/>
      <c r="J61" s="19">
        <f>J60*0.25</f>
        <v>14983.785591249996</v>
      </c>
      <c r="K61" s="12">
        <f>J62/K60</f>
        <v>1.2499999999999998</v>
      </c>
    </row>
    <row r="62" spans="2:11" ht="15.75" x14ac:dyDescent="0.25">
      <c r="E62" s="8" t="s">
        <v>41</v>
      </c>
      <c r="F62" s="82"/>
      <c r="G62" s="83"/>
      <c r="H62" s="83"/>
      <c r="I62" s="84"/>
      <c r="J62" s="14">
        <f>SUM(J60:J61)</f>
        <v>74918.927956249987</v>
      </c>
      <c r="K62" s="14">
        <f>K57+K53+K49+K45+K38+K34+K30+K26+K21+K17+K6</f>
        <v>74918.927956250001</v>
      </c>
    </row>
    <row r="68" spans="6:9" x14ac:dyDescent="0.25">
      <c r="F68" s="17"/>
      <c r="G68" s="18"/>
      <c r="H68" s="18"/>
      <c r="I68" s="18"/>
    </row>
    <row r="69" spans="6:9" ht="15.75" x14ac:dyDescent="0.25">
      <c r="F69" s="15" t="s">
        <v>98</v>
      </c>
    </row>
    <row r="70" spans="6:9" ht="15.75" x14ac:dyDescent="0.25">
      <c r="F70" s="15" t="s">
        <v>99</v>
      </c>
    </row>
    <row r="71" spans="6:9" ht="15.75" x14ac:dyDescent="0.25">
      <c r="F71" s="15" t="s">
        <v>100</v>
      </c>
    </row>
    <row r="72" spans="6:9" ht="15.75" x14ac:dyDescent="0.25">
      <c r="F72" s="15" t="s">
        <v>101</v>
      </c>
    </row>
  </sheetData>
  <mergeCells count="3">
    <mergeCell ref="F60:I60"/>
    <mergeCell ref="F61:I61"/>
    <mergeCell ref="F62:I62"/>
  </mergeCells>
  <pageMargins left="0.31496062992125984" right="0.35433070866141736" top="0.6692913385826772" bottom="0.6692913385826772" header="0.31496062992125984" footer="0.31496062992125984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workbookViewId="0">
      <selection activeCell="K12" sqref="K12"/>
    </sheetView>
  </sheetViews>
  <sheetFormatPr defaultRowHeight="15" x14ac:dyDescent="0.25"/>
  <cols>
    <col min="1" max="2" width="9.140625" style="24"/>
    <col min="3" max="3" width="31.5703125" style="24" bestFit="1" customWidth="1"/>
    <col min="4" max="4" width="10.7109375" style="24" customWidth="1"/>
    <col min="5" max="8" width="12.7109375" style="24" customWidth="1"/>
    <col min="9" max="10" width="9.140625" style="24"/>
    <col min="11" max="11" width="10.5703125" style="24" bestFit="1" customWidth="1"/>
    <col min="12" max="16384" width="9.140625" style="24"/>
  </cols>
  <sheetData>
    <row r="1" spans="1:9" x14ac:dyDescent="0.25">
      <c r="A1" s="41"/>
      <c r="B1" s="85" t="s">
        <v>102</v>
      </c>
      <c r="C1" s="85"/>
      <c r="D1" s="85"/>
      <c r="E1" s="85"/>
      <c r="F1" s="85"/>
      <c r="G1" s="85"/>
      <c r="H1" s="85"/>
    </row>
    <row r="2" spans="1:9" x14ac:dyDescent="0.25">
      <c r="A2" s="41"/>
      <c r="B2" s="86" t="s">
        <v>77</v>
      </c>
      <c r="C2" s="86"/>
      <c r="D2" s="86"/>
      <c r="E2" s="86"/>
      <c r="F2" s="86"/>
      <c r="G2" s="86"/>
      <c r="H2" s="86"/>
    </row>
    <row r="3" spans="1:9" x14ac:dyDescent="0.25">
      <c r="A3" s="41"/>
      <c r="B3" s="87" t="s">
        <v>96</v>
      </c>
      <c r="C3" s="87"/>
      <c r="D3" s="87"/>
      <c r="E3" s="87"/>
      <c r="F3" s="87"/>
      <c r="G3" s="87"/>
      <c r="H3" s="87"/>
    </row>
    <row r="4" spans="1:9" x14ac:dyDescent="0.25">
      <c r="B4" s="48"/>
      <c r="C4" s="49"/>
      <c r="D4" s="49"/>
      <c r="E4" s="49"/>
      <c r="F4" s="49"/>
      <c r="G4" s="49"/>
      <c r="H4" s="50"/>
      <c r="I4" s="43"/>
    </row>
    <row r="5" spans="1:9" x14ac:dyDescent="0.25">
      <c r="B5" s="33" t="s">
        <v>51</v>
      </c>
      <c r="C5" s="33" t="s">
        <v>2</v>
      </c>
      <c r="D5" s="34"/>
      <c r="E5" s="38" t="s">
        <v>103</v>
      </c>
      <c r="F5" s="38" t="s">
        <v>104</v>
      </c>
      <c r="G5" s="38" t="s">
        <v>105</v>
      </c>
      <c r="H5" s="38" t="s">
        <v>106</v>
      </c>
    </row>
    <row r="6" spans="1:9" x14ac:dyDescent="0.25">
      <c r="B6" s="25"/>
      <c r="C6" s="21"/>
      <c r="D6" s="36">
        <v>0</v>
      </c>
      <c r="E6" s="26">
        <v>0</v>
      </c>
      <c r="F6" s="46">
        <v>0</v>
      </c>
      <c r="G6" s="26">
        <v>0</v>
      </c>
      <c r="H6" s="26">
        <v>0</v>
      </c>
    </row>
    <row r="7" spans="1:9" x14ac:dyDescent="0.25">
      <c r="B7" s="25">
        <v>1</v>
      </c>
      <c r="C7" s="27" t="str">
        <f>Orçamento!E6</f>
        <v>ELEVAÇÃO DA CHURASQUEIRA</v>
      </c>
      <c r="D7" s="47">
        <f>Orçamento!K6</f>
        <v>12259.339781249999</v>
      </c>
      <c r="E7" s="42">
        <f>0.5*D7</f>
        <v>6129.6698906249994</v>
      </c>
      <c r="F7" s="71">
        <f>0.5*D7</f>
        <v>6129.6698906249994</v>
      </c>
      <c r="G7" s="72">
        <v>0</v>
      </c>
      <c r="H7" s="47">
        <v>0</v>
      </c>
      <c r="I7" s="43"/>
    </row>
    <row r="8" spans="1:9" x14ac:dyDescent="0.25">
      <c r="B8" s="25">
        <v>2</v>
      </c>
      <c r="C8" s="21" t="str">
        <f>Orçamento!E17</f>
        <v>PAREDES</v>
      </c>
      <c r="D8" s="47">
        <f>Orçamento!K17</f>
        <v>2410.5599999999995</v>
      </c>
      <c r="E8" s="42">
        <f>D8</f>
        <v>2410.5599999999995</v>
      </c>
      <c r="F8" s="45">
        <v>0</v>
      </c>
      <c r="G8" s="44">
        <v>0</v>
      </c>
      <c r="H8" s="47">
        <v>0</v>
      </c>
      <c r="I8" s="43"/>
    </row>
    <row r="9" spans="1:9" ht="30" x14ac:dyDescent="0.25">
      <c r="B9" s="25">
        <v>3</v>
      </c>
      <c r="C9" s="21" t="str">
        <f>Orçamento!E21</f>
        <v>TRATAMENTO DE PILARES COM FERRAGEM EXPOSTA E REQUADRO</v>
      </c>
      <c r="D9" s="20">
        <f>Orçamento!K21</f>
        <v>103.02717499999999</v>
      </c>
      <c r="E9" s="73">
        <f>D9</f>
        <v>103.02717499999999</v>
      </c>
      <c r="F9" s="72">
        <v>0</v>
      </c>
      <c r="G9" s="42">
        <v>0</v>
      </c>
      <c r="H9" s="22">
        <v>0</v>
      </c>
    </row>
    <row r="10" spans="1:9" x14ac:dyDescent="0.25">
      <c r="B10" s="25">
        <v>4</v>
      </c>
      <c r="C10" s="21" t="str">
        <f>Orçamento!E26</f>
        <v>REVESTIMENTO INTERNO</v>
      </c>
      <c r="D10" s="20">
        <f>Orçamento!K26</f>
        <v>9089.704499999998</v>
      </c>
      <c r="E10" s="47">
        <v>0</v>
      </c>
      <c r="F10" s="76">
        <f>D10*0.5</f>
        <v>4544.852249999999</v>
      </c>
      <c r="G10" s="71">
        <f>D10*0.5</f>
        <v>4544.852249999999</v>
      </c>
      <c r="H10" s="72">
        <v>0</v>
      </c>
    </row>
    <row r="11" spans="1:9" x14ac:dyDescent="0.25">
      <c r="B11" s="27">
        <v>5</v>
      </c>
      <c r="C11" s="28" t="str">
        <f>Orçamento!E30</f>
        <v>FORRO</v>
      </c>
      <c r="D11" s="20">
        <f>Orçamento!K30</f>
        <v>1197.0337499999998</v>
      </c>
      <c r="E11" s="47">
        <v>0</v>
      </c>
      <c r="F11" s="23"/>
      <c r="G11" s="22">
        <v>0</v>
      </c>
      <c r="H11" s="74">
        <f>D11</f>
        <v>1197.0337499999998</v>
      </c>
      <c r="I11" s="79"/>
    </row>
    <row r="12" spans="1:9" x14ac:dyDescent="0.25">
      <c r="B12" s="27">
        <v>6</v>
      </c>
      <c r="C12" s="28" t="str">
        <f>Orçamento!E34</f>
        <v>PINTURA</v>
      </c>
      <c r="D12" s="20">
        <f>Orçamento!K34</f>
        <v>9543.0219999999972</v>
      </c>
      <c r="E12" s="47">
        <v>0</v>
      </c>
      <c r="F12" s="23"/>
      <c r="G12" s="22">
        <v>0</v>
      </c>
      <c r="H12" s="77">
        <f>D12</f>
        <v>9543.0219999999972</v>
      </c>
    </row>
    <row r="13" spans="1:9" x14ac:dyDescent="0.25">
      <c r="B13" s="27">
        <v>7</v>
      </c>
      <c r="C13" s="35" t="str">
        <f>Orçamento!E38</f>
        <v>ESQUADRIAS</v>
      </c>
      <c r="D13" s="20">
        <f>Orçamento!K38</f>
        <v>5677.5342499999988</v>
      </c>
      <c r="E13" s="47">
        <v>0</v>
      </c>
      <c r="F13" s="44">
        <v>0</v>
      </c>
      <c r="G13" s="77">
        <f>D13</f>
        <v>5677.5342499999988</v>
      </c>
      <c r="H13" s="44">
        <v>0</v>
      </c>
    </row>
    <row r="14" spans="1:9" x14ac:dyDescent="0.25">
      <c r="B14" s="27">
        <v>8</v>
      </c>
      <c r="C14" s="28" t="str">
        <f>Orçamento!E45</f>
        <v>PISO</v>
      </c>
      <c r="D14" s="20">
        <f>Orçamento!K45</f>
        <v>31858.024249999999</v>
      </c>
      <c r="E14" s="74">
        <f>D14*0.3</f>
        <v>9557.4072749999996</v>
      </c>
      <c r="F14" s="75">
        <f>D14*0.3</f>
        <v>9557.4072749999996</v>
      </c>
      <c r="G14" s="78">
        <f>D14*0.4</f>
        <v>12743.209699999999</v>
      </c>
      <c r="H14" s="44">
        <v>0</v>
      </c>
    </row>
    <row r="15" spans="1:9" x14ac:dyDescent="0.25">
      <c r="B15" s="27">
        <v>9</v>
      </c>
      <c r="C15" s="28" t="str">
        <f>Orçamento!E49</f>
        <v xml:space="preserve">COBERTURA </v>
      </c>
      <c r="D15" s="20">
        <f>Orçamento!K49</f>
        <v>776.05724999999995</v>
      </c>
      <c r="E15" s="74">
        <f>D15</f>
        <v>776.05724999999995</v>
      </c>
      <c r="F15" s="72">
        <v>0</v>
      </c>
      <c r="G15" s="22">
        <v>0</v>
      </c>
      <c r="H15" s="22">
        <v>0</v>
      </c>
    </row>
    <row r="16" spans="1:9" x14ac:dyDescent="0.25">
      <c r="B16" s="27">
        <v>10</v>
      </c>
      <c r="C16" s="36" t="str">
        <f>Orçamento!E53</f>
        <v>INSTALAÇÕES ELÉTRICAS</v>
      </c>
      <c r="D16" s="20">
        <f>Orçamento!K53</f>
        <v>1754.6249999999998</v>
      </c>
      <c r="E16" s="22">
        <v>0</v>
      </c>
      <c r="F16" s="44">
        <v>0</v>
      </c>
      <c r="G16" s="22">
        <v>0</v>
      </c>
      <c r="H16" s="77">
        <f>D16</f>
        <v>1754.6249999999998</v>
      </c>
    </row>
    <row r="17" spans="1:11" x14ac:dyDescent="0.25">
      <c r="B17" s="27">
        <v>11</v>
      </c>
      <c r="C17" s="28" t="str">
        <f>Orçamento!E57</f>
        <v>INSTALAÇÕES HIDRÁULICAS</v>
      </c>
      <c r="D17" s="20">
        <f>Orçamento!K57</f>
        <v>249.99999999999994</v>
      </c>
      <c r="E17" s="44">
        <v>0</v>
      </c>
      <c r="F17" s="22">
        <v>0</v>
      </c>
      <c r="G17" s="22">
        <v>0</v>
      </c>
      <c r="H17" s="74">
        <f>D17</f>
        <v>249.99999999999994</v>
      </c>
      <c r="I17" s="79"/>
    </row>
    <row r="18" spans="1:11" ht="15.75" thickBot="1" x14ac:dyDescent="0.3">
      <c r="B18" s="51"/>
      <c r="C18" s="52"/>
      <c r="D18" s="53">
        <v>0</v>
      </c>
      <c r="E18" s="54">
        <v>0</v>
      </c>
      <c r="F18" s="55">
        <v>0</v>
      </c>
      <c r="G18" s="55">
        <v>0</v>
      </c>
      <c r="H18" s="55">
        <v>0</v>
      </c>
    </row>
    <row r="19" spans="1:11" ht="16.5" thickTop="1" thickBot="1" x14ac:dyDescent="0.3">
      <c r="A19" s="41"/>
      <c r="B19" s="40"/>
      <c r="C19" s="37" t="s">
        <v>41</v>
      </c>
      <c r="D19" s="68">
        <f>SUM(D7:D18)</f>
        <v>74918.927956249987</v>
      </c>
      <c r="E19" s="69">
        <v>0</v>
      </c>
      <c r="F19" s="70">
        <v>0</v>
      </c>
      <c r="G19" s="70">
        <v>0</v>
      </c>
      <c r="H19" s="70">
        <v>0</v>
      </c>
    </row>
    <row r="20" spans="1:11" ht="15.75" thickTop="1" x14ac:dyDescent="0.25">
      <c r="A20" s="41"/>
      <c r="B20" s="37"/>
      <c r="C20" s="29" t="s">
        <v>110</v>
      </c>
      <c r="D20" s="65"/>
      <c r="E20" s="66">
        <f>SUM(E7:E18)</f>
        <v>18976.721590625002</v>
      </c>
      <c r="F20" s="67">
        <f>SUM(F7:F18)</f>
        <v>20231.929415624996</v>
      </c>
      <c r="G20" s="67">
        <f>SUM(G7:G18)</f>
        <v>22965.596199999996</v>
      </c>
      <c r="H20" s="67">
        <f>SUM(H7:H18)</f>
        <v>12744.680749999998</v>
      </c>
      <c r="K20" s="32">
        <f>SUM(E20:H20)</f>
        <v>74918.927956250001</v>
      </c>
    </row>
    <row r="21" spans="1:11" ht="15.75" thickBot="1" x14ac:dyDescent="0.3">
      <c r="A21" s="41"/>
      <c r="B21" s="29"/>
      <c r="C21" s="29" t="s">
        <v>107</v>
      </c>
      <c r="D21" s="59"/>
      <c r="E21" s="60">
        <f>E20</f>
        <v>18976.721590625002</v>
      </c>
      <c r="F21" s="61">
        <f>E20+F20</f>
        <v>39208.651006250002</v>
      </c>
      <c r="G21" s="61">
        <f>E20+F20+G20</f>
        <v>62174.247206250002</v>
      </c>
      <c r="H21" s="61">
        <f>E20+F20+G20+H20</f>
        <v>74918.927956250001</v>
      </c>
    </row>
    <row r="22" spans="1:11" ht="15.75" thickTop="1" x14ac:dyDescent="0.25">
      <c r="A22" s="41"/>
      <c r="B22" s="29"/>
      <c r="C22" s="29" t="s">
        <v>108</v>
      </c>
      <c r="D22" s="56"/>
      <c r="E22" s="57">
        <f t="shared" ref="E22:H23" si="0">E20/$D$19</f>
        <v>0.25329675835333282</v>
      </c>
      <c r="F22" s="58">
        <f t="shared" si="0"/>
        <v>0.27005097333266342</v>
      </c>
      <c r="G22" s="58">
        <f t="shared" si="0"/>
        <v>0.30653930624062181</v>
      </c>
      <c r="H22" s="58">
        <f t="shared" si="0"/>
        <v>0.17011296207338206</v>
      </c>
    </row>
    <row r="23" spans="1:11" ht="15.75" thickBot="1" x14ac:dyDescent="0.3">
      <c r="A23" s="41"/>
      <c r="B23" s="30"/>
      <c r="C23" s="29" t="s">
        <v>109</v>
      </c>
      <c r="D23" s="62"/>
      <c r="E23" s="63">
        <f t="shared" si="0"/>
        <v>0.25329675835333282</v>
      </c>
      <c r="F23" s="64">
        <f t="shared" si="0"/>
        <v>0.52334773168599624</v>
      </c>
      <c r="G23" s="64">
        <f t="shared" si="0"/>
        <v>0.82988703792661811</v>
      </c>
      <c r="H23" s="64">
        <f t="shared" si="0"/>
        <v>1.0000000000000002</v>
      </c>
    </row>
    <row r="24" spans="1:11" ht="15.75" thickTop="1" x14ac:dyDescent="0.25">
      <c r="A24" s="41"/>
      <c r="B24" s="30"/>
      <c r="C24" s="30"/>
      <c r="D24" s="41"/>
      <c r="E24" s="41"/>
      <c r="F24" s="41"/>
      <c r="G24" s="41"/>
      <c r="H24" s="41"/>
    </row>
    <row r="27" spans="1:11" x14ac:dyDescent="0.25">
      <c r="F27" s="39"/>
      <c r="G27" s="39"/>
      <c r="H27" s="39"/>
    </row>
    <row r="28" spans="1:11" ht="15.75" x14ac:dyDescent="0.25">
      <c r="F28" s="15" t="s">
        <v>98</v>
      </c>
      <c r="G28" s="12"/>
      <c r="H28" s="12"/>
    </row>
    <row r="29" spans="1:11" ht="15.75" x14ac:dyDescent="0.25">
      <c r="F29" s="15" t="s">
        <v>99</v>
      </c>
      <c r="G29" s="12"/>
      <c r="H29" s="12"/>
    </row>
    <row r="30" spans="1:11" ht="15.75" x14ac:dyDescent="0.25">
      <c r="F30" s="15" t="s">
        <v>100</v>
      </c>
      <c r="G30" s="12"/>
      <c r="H30" s="12"/>
    </row>
    <row r="31" spans="1:11" ht="15.75" x14ac:dyDescent="0.25">
      <c r="F31" s="15" t="s">
        <v>101</v>
      </c>
      <c r="G31" s="12"/>
      <c r="H31" s="12"/>
    </row>
  </sheetData>
  <mergeCells count="3">
    <mergeCell ref="B1:H1"/>
    <mergeCell ref="B2:H2"/>
    <mergeCell ref="B3:H3"/>
  </mergeCells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Orçamento</vt:lpstr>
      <vt:lpstr>Cronograma</vt:lpstr>
      <vt:lpstr>Cronograma!Area_de_impressao</vt:lpstr>
      <vt:lpstr>Orçamento!Area_de_impressao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admin</cp:lastModifiedBy>
  <cp:lastPrinted>2020-10-26T17:38:07Z</cp:lastPrinted>
  <dcterms:created xsi:type="dcterms:W3CDTF">2020-10-20T19:44:43Z</dcterms:created>
  <dcterms:modified xsi:type="dcterms:W3CDTF">2020-10-30T19:00:37Z</dcterms:modified>
</cp:coreProperties>
</file>